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P:\- Public\Government Relations\FIRST\"/>
    </mc:Choice>
  </mc:AlternateContent>
  <xr:revisionPtr revIDLastSave="0" documentId="8_{1E78FDB8-F28B-4A63-B94A-6C04A69C5840}" xr6:coauthVersionLast="46" xr6:coauthVersionMax="46" xr10:uidLastSave="{00000000-0000-0000-0000-000000000000}"/>
  <bookViews>
    <workbookView xWindow="375" yWindow="390" windowWidth="20460" windowHeight="1149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8" i="1" l="1"/>
  <c r="C32" i="1"/>
  <c r="C31" i="1"/>
  <c r="C33" i="1" s="1"/>
  <c r="C101" i="1"/>
  <c r="C74" i="1"/>
  <c r="C75" i="1" s="1"/>
  <c r="C67" i="1"/>
  <c r="C128" i="1"/>
  <c r="C64" i="1"/>
  <c r="C68" i="1" l="1"/>
  <c r="C124" i="1"/>
  <c r="C123" i="1"/>
  <c r="C79" i="1" l="1"/>
  <c r="C120" i="1"/>
  <c r="C94" i="1" l="1"/>
  <c r="C93" i="1"/>
  <c r="C95" i="1" l="1"/>
  <c r="C39" i="1"/>
  <c r="C44" i="1" l="1"/>
  <c r="C50" i="1" l="1"/>
  <c r="C51" i="1" s="1"/>
  <c r="C112" i="1" l="1"/>
  <c r="C125" i="1"/>
  <c r="C109" i="1"/>
  <c r="C100" i="1" l="1"/>
  <c r="C102" i="1" s="1"/>
  <c r="C86" i="1"/>
  <c r="C85" i="1"/>
  <c r="C84" i="1"/>
  <c r="C83" i="1"/>
  <c r="C82" i="1"/>
  <c r="C87" i="1" s="1"/>
  <c r="C59" i="1"/>
  <c r="C60" i="1" s="1"/>
  <c r="C45" i="1"/>
  <c r="C40" i="1"/>
  <c r="C118" i="1" l="1"/>
  <c r="C122" i="1"/>
  <c r="C127" i="1" l="1"/>
  <c r="C129" i="1" s="1"/>
  <c r="E129" i="1" s="1"/>
</calcChain>
</file>

<file path=xl/sharedStrings.xml><?xml version="1.0" encoding="utf-8"?>
<sst xmlns="http://schemas.openxmlformats.org/spreadsheetml/2006/main" count="121" uniqueCount="99">
  <si>
    <t>This template is based upon current understanding and interpretations on School FIRST indicators</t>
  </si>
  <si>
    <t>TEA School FIRST Web Page</t>
  </si>
  <si>
    <t xml:space="preserve">Was the complete annual financial report (AFR) and data submitted to the TEA within 30 days of the November 27 or January 28 deadline depending on the school district’s fiscal year end date of June 30 or August 31, respectively? </t>
  </si>
  <si>
    <t>Was the school district in compliance with the payment terms of all debt agreements at fiscal year end? (If the school district was in default in a prior fiscal year, an exemption applies in following years if the school district is current on its forbearance or payment plan with the lender and the payments are made on schedule for the fiscal year being rated. Also exempted are technical defaults that are not related to monetary defaults. A technical default is a failure to uphold the terms of a debt covenant, contract, or master promissory note even though payments to the lender, trust, or sinking fund are current. A debt agreement is a legal agreement between a debtor (= person, company, etc. that owes money) and their creditors, which includes a plan for paying back the debt.)</t>
  </si>
  <si>
    <t>Was there an unmodified opinion in the AFR on the financial statements as a whole? (The American Institute of Certified Public Accountants (AICPA) defines unmodified opinion. The external independent auditor determines if there was an unmodified opinion.)</t>
  </si>
  <si>
    <t>Critical Indicators</t>
  </si>
  <si>
    <t>Solvency Indicators</t>
  </si>
  <si>
    <t>Percentage change in fund balance</t>
  </si>
  <si>
    <t>Total Points</t>
  </si>
  <si>
    <t>Ratio</t>
  </si>
  <si>
    <t>3 year budget to actual variance</t>
  </si>
  <si>
    <t xml:space="preserve"> </t>
  </si>
  <si>
    <t>Ratio of liabilities to assets</t>
  </si>
  <si>
    <t>Debt per $100 of assessed value</t>
  </si>
  <si>
    <t>Enter the total unrestricted net position balance (governmental activities column) in Exhibit A-1 in the annual financial report</t>
  </si>
  <si>
    <t>Enter the accretion of interest for capital appreciation bonds</t>
  </si>
  <si>
    <t>Enter the Net Pension Liability (NPL)</t>
  </si>
  <si>
    <t>Yes or No</t>
  </si>
  <si>
    <t>Revenues as a percentage of expenditures</t>
  </si>
  <si>
    <t>Administrative Cost Ratio</t>
  </si>
  <si>
    <t>Enter total expenditures for functions 11, 12, 13, and 31 (operating expenditures in fund 199, excluding 6144)</t>
  </si>
  <si>
    <t>Enter Average daily attendance</t>
  </si>
  <si>
    <t>Maximum acceptable administrative cost ratio 10 points</t>
  </si>
  <si>
    <t>Maximum acceptable administrative cost ratio 8 points</t>
  </si>
  <si>
    <t>Maximum acceptable administrative cost ratio 6 points</t>
  </si>
  <si>
    <t>Maximum acceptable administrative cost ratio 4 points</t>
  </si>
  <si>
    <t>Maximum Acceptable administrative cost ratio 2 points</t>
  </si>
  <si>
    <t>Does the district qualify as "sparse" (enter yes / no)</t>
  </si>
  <si>
    <t>Sum Total</t>
  </si>
  <si>
    <t>Ratio of actual to projected ADA</t>
  </si>
  <si>
    <t>Maximum allowed variance</t>
  </si>
  <si>
    <t>Yes</t>
  </si>
  <si>
    <t>Did the external independent auditor report that the AFR was free of any instance(s) of material weaknesses in internal controls over financial reporting and compliance for local, state, federal fund? (The AICPA defines material weakness (Enter Yes or No)</t>
  </si>
  <si>
    <t>Did the school district make timely payments to the Teachers Retirement System (TRS), Texas Workforce Commission (TWC), Internal Revenue Service (IRS), and other government agencies? Indicating by receiving NO warrant-holds during the fiscal year.</t>
  </si>
  <si>
    <t>If the district answered No above and received a warrant-hold, did the district clear the hold within 30 days?</t>
  </si>
  <si>
    <t>Ceiling Points for indicator 4</t>
  </si>
  <si>
    <t>Ceiling Points for indicator 5</t>
  </si>
  <si>
    <t>Ceiling Points for indicator 6</t>
  </si>
  <si>
    <t>Ceiling Points for indicator 16</t>
  </si>
  <si>
    <t>Ceiling Points for indicator 17</t>
  </si>
  <si>
    <t>Ceiling Points for indicator 20</t>
  </si>
  <si>
    <t>Grade</t>
  </si>
  <si>
    <t>Ceiling Indicators (a district may not receive more than the points indicated)</t>
  </si>
  <si>
    <t>Were all critical indicators passed?</t>
  </si>
  <si>
    <t>No</t>
  </si>
  <si>
    <t>Enter total general fund expenditures for capital outlay (function 81)</t>
  </si>
  <si>
    <t xml:space="preserve">Enter the districts total general fund expenditures </t>
  </si>
  <si>
    <t>Enter the district's long term liabilities from schedule A-1 in the annual audit report</t>
  </si>
  <si>
    <t>Enter the district's current year assessed property value for debt service</t>
  </si>
  <si>
    <t>Did the comparison of Public Education Information Management System (PEIMS) data to like information in the school district’s AFR result in a total variance of less than 3 percent of all expenditures by function? (Enter Yes or No)</t>
  </si>
  <si>
    <t>Did the external independent auditor indicate the AFR was free of any instance(s) of material noncompliance for grants, contracts, and laws related to local, state, or federal funds? (The AICPA defines material noncompliance.)</t>
  </si>
  <si>
    <t>Enter the district's total local and intermediate revenue (5700s, fund 599)</t>
  </si>
  <si>
    <t>This template is for ratings year 2020-2021 and is based on data for fiscal year 2020 (school year 2019-2020) and earlier years as specified.</t>
  </si>
  <si>
    <t>Days cash on hand</t>
  </si>
  <si>
    <t>Enter total expenditures for functions 21 and 41 (operating expenditures in fund 199, excluding 6144)</t>
  </si>
  <si>
    <t>Did the school district post the required financial information on its website in accordance with Government Code, Local Government Code, Texas Education Code, Texas Administrative Code and other statutes, laws and rules? (Enter Yes or No)</t>
  </si>
  <si>
    <t>Did the school board members discuss the district's property values and the funding lag at a board meeting within 120 days of the district adopting its budget? (Enter Yes or No)</t>
  </si>
  <si>
    <t>Fund Balance Needed for 75 Days of Expenses</t>
  </si>
  <si>
    <t>Percentage change in membership</t>
  </si>
  <si>
    <t>Enter the 2019 total assigned and unassigned fund balance  in the general fund (199)</t>
  </si>
  <si>
    <t>Enter the 2018 total assigned and unassigned fund balance  in the general fund (199)</t>
  </si>
  <si>
    <t>Enter the district's cash and cash equivalents, fund 199</t>
  </si>
  <si>
    <t>Enter the district's current investments, fund 199</t>
  </si>
  <si>
    <t>Enter the district's facilities acquisition and construction expenditures from the general fund (fund 199, function 81)</t>
  </si>
  <si>
    <t>Enter the district's total general fund facilities acquisition and construction costs (fund 199 function 81)</t>
  </si>
  <si>
    <t>Enter the district's total general fund revenues (fund 199, code 5020 from Statement of Revenues, Expenditures and Changes in Fund Balance)</t>
  </si>
  <si>
    <t>Enter the district's total general fund expenditures (fund 199, code 6030 from Statement of Revenues, Expenditures and Changes in Fund Balance)</t>
  </si>
  <si>
    <t>Enter 2020 actual general fund revenue (fund 199, object codes 57XX through 58xx)</t>
  </si>
  <si>
    <t>Enter 2019 actual general fund revenue (fund 199, object codes 57XX through 58xx)</t>
  </si>
  <si>
    <t>Enter 2020 budgeted general fund revenue (fund 199, object codes 57XX through 58xx)</t>
  </si>
  <si>
    <t>Enter 2019 budgeted general fund revenue (fund 199, object codes 57XX through 58xx)</t>
  </si>
  <si>
    <t>Enter the district's total  revenues (code 5020, fund 599)</t>
  </si>
  <si>
    <t>Did the district submit pupil projections to the TEA through the TEASE FSP system?  (enter Yes or No)</t>
  </si>
  <si>
    <t>Enter the Other Post Employment Benefits (OPEB)</t>
  </si>
  <si>
    <t>School FIRST Template for rating year 2020-2021 +</t>
  </si>
  <si>
    <t>THIS INDICATOR IS NOT BEING SCORED</t>
  </si>
  <si>
    <t>Enter the number of students in membership in 2020-2021</t>
  </si>
  <si>
    <t>Enter the number of students in membership in 2015-2016</t>
  </si>
  <si>
    <t>Enter the 2020 total assigned and unassigned fund balance  in the general fund (199)</t>
  </si>
  <si>
    <t>Enter the total 2021 expenditures from the general fund (199)</t>
  </si>
  <si>
    <t>Enter Current Assets (2021 AFR, exhibit A-1, government wide)</t>
  </si>
  <si>
    <t>Enter Current Liabilities (2021 AFR, exhibit A-1, government wide)</t>
  </si>
  <si>
    <t>Enter 2021 actual general fund revenue (fund 199, object codes 57XX through 58xx)</t>
  </si>
  <si>
    <t>Enter 2021 budgeted general fund revenue (fund 199, object codes 57XX through 58xx)</t>
  </si>
  <si>
    <t>Enter the district's total long-term liabilities for FY 2021 from the governmental activities column from the Statement of Net Position</t>
  </si>
  <si>
    <t>Enter the district's total assets for FY 2021  from schedule A-1 of the AFR  from the governmental activities column from the Statement of Net Position</t>
  </si>
  <si>
    <t>Enter 2021 total staff</t>
  </si>
  <si>
    <t>Enter 2019 total staff</t>
  </si>
  <si>
    <t>Enter 2021 enrollment</t>
  </si>
  <si>
    <t>Enter 2019 enrollment</t>
  </si>
  <si>
    <t>2019 student to staff ratio</t>
  </si>
  <si>
    <t>2021 student to staff ratio</t>
  </si>
  <si>
    <t>What was actual total ADA for 2021?</t>
  </si>
  <si>
    <t>What was projected ADA for 2021</t>
  </si>
  <si>
    <t>N/A</t>
  </si>
  <si>
    <t>Enter the districts 2021 Total Students in Membership</t>
  </si>
  <si>
    <t>Enter the district's 2017 Total Students in Membership</t>
  </si>
  <si>
    <t>% Change in students</t>
  </si>
  <si>
    <t>Enter the 2021 total assigned and unassigned fund balance in the general fund (199)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</si>
</sst>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quot;$&quot;#,##0"/>
    <numFmt numFmtId="166" formatCode="0.000"/>
    <numFmt numFmtId="167" formatCode="0.0000%"/>
  </numFmts>
  <fonts count="9"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Light"/>
      <family val="1"/>
      <scheme val="major"/>
    </font>
    <font>
      <sz val="12"/>
      <color theme="1"/>
      <name val="Calibri Light"/>
      <family val="1"/>
      <scheme val="major"/>
    </font>
    <font>
      <i/>
      <sz val="11"/>
      <color theme="1"/>
      <name val="Calibri"/>
      <family val="2"/>
      <scheme val="minor"/>
    </font>
    <font>
      <b/>
      <sz val="18"/>
      <color theme="1"/>
      <name val="Calibri"/>
      <family val="2"/>
      <scheme val="minor"/>
    </font>
    <font>
      <b/>
      <i/>
      <sz val="18"/>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3" fillId="0" borderId="0" xfId="0" applyFont="1"/>
    <xf numFmtId="0" fontId="4" fillId="0" borderId="0" xfId="0" applyFont="1"/>
    <xf numFmtId="0" fontId="2" fillId="0" borderId="0" xfId="1" applyAlignment="1" applyProtection="1"/>
    <xf numFmtId="0" fontId="0" fillId="0" borderId="0" xfId="0" applyAlignment="1">
      <alignment horizontal="left"/>
    </xf>
    <xf numFmtId="0" fontId="0" fillId="0" borderId="1" xfId="0" applyBorder="1" applyAlignment="1">
      <alignment horizontal="left" vertical="center"/>
    </xf>
    <xf numFmtId="0" fontId="0" fillId="0" borderId="1" xfId="0" applyBorder="1" applyAlignment="1">
      <alignment wrapText="1"/>
    </xf>
    <xf numFmtId="0" fontId="0" fillId="0" borderId="2" xfId="0" applyBorder="1"/>
    <xf numFmtId="0" fontId="1" fillId="0" borderId="0" xfId="0" applyFont="1"/>
    <xf numFmtId="0" fontId="0" fillId="0" borderId="0" xfId="0" applyFill="1" applyBorder="1" applyAlignment="1">
      <alignment wrapText="1"/>
    </xf>
    <xf numFmtId="0" fontId="0" fillId="0" borderId="1" xfId="0" applyFill="1" applyBorder="1" applyAlignment="1">
      <alignment wrapText="1"/>
    </xf>
    <xf numFmtId="0" fontId="5" fillId="0" borderId="0" xfId="0" applyFont="1"/>
    <xf numFmtId="0" fontId="0" fillId="0" borderId="3" xfId="0" applyFill="1" applyBorder="1" applyAlignment="1">
      <alignment wrapText="1"/>
    </xf>
    <xf numFmtId="0" fontId="0" fillId="0" borderId="0" xfId="0" applyAlignment="1">
      <alignment horizontal="center" wrapText="1"/>
    </xf>
    <xf numFmtId="0" fontId="0" fillId="2" borderId="1" xfId="0" applyFill="1" applyBorder="1"/>
    <xf numFmtId="0" fontId="0" fillId="3" borderId="1" xfId="0" applyFill="1" applyBorder="1"/>
    <xf numFmtId="0" fontId="0" fillId="4" borderId="0" xfId="0" applyFill="1"/>
    <xf numFmtId="10" fontId="0" fillId="3" borderId="1" xfId="0" applyNumberFormat="1" applyFill="1" applyBorder="1"/>
    <xf numFmtId="0" fontId="0" fillId="4" borderId="0" xfId="0" applyFill="1" applyBorder="1" applyAlignment="1">
      <alignment horizontal="right"/>
    </xf>
    <xf numFmtId="0" fontId="0" fillId="0" borderId="0" xfId="0" applyFill="1"/>
    <xf numFmtId="0" fontId="0" fillId="0" borderId="0" xfId="0" applyFill="1" applyAlignment="1">
      <alignment horizontal="right"/>
    </xf>
    <xf numFmtId="0" fontId="0" fillId="4" borderId="0" xfId="0" applyFill="1" applyAlignment="1">
      <alignment horizontal="right"/>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Alignment="1">
      <alignment horizontal="right"/>
    </xf>
    <xf numFmtId="0" fontId="6" fillId="0" borderId="0" xfId="0" applyFont="1"/>
    <xf numFmtId="0" fontId="6" fillId="0" borderId="0" xfId="0" applyFont="1" applyAlignment="1">
      <alignment horizontal="right"/>
    </xf>
    <xf numFmtId="0" fontId="0" fillId="0" borderId="0" xfId="0" applyBorder="1" applyAlignment="1">
      <alignment wrapText="1"/>
    </xf>
    <xf numFmtId="0" fontId="7" fillId="0" borderId="0" xfId="0" applyFont="1" applyAlignment="1">
      <alignment horizontal="right"/>
    </xf>
    <xf numFmtId="0" fontId="1" fillId="0" borderId="1" xfId="0" applyFont="1" applyFill="1" applyBorder="1" applyAlignment="1" applyProtection="1">
      <alignment horizontal="right"/>
      <protection locked="0"/>
    </xf>
    <xf numFmtId="165" fontId="0" fillId="0" borderId="1" xfId="0" applyNumberFormat="1" applyBorder="1" applyProtection="1">
      <protection locked="0"/>
    </xf>
    <xf numFmtId="3" fontId="0" fillId="3" borderId="1" xfId="0" applyNumberFormat="1" applyFill="1" applyBorder="1"/>
    <xf numFmtId="4" fontId="0" fillId="0" borderId="1" xfId="0" applyNumberFormat="1" applyBorder="1" applyProtection="1">
      <protection locked="0"/>
    </xf>
    <xf numFmtId="165" fontId="0" fillId="0" borderId="1" xfId="0" applyNumberFormat="1" applyFill="1" applyBorder="1" applyProtection="1">
      <protection locked="0"/>
    </xf>
    <xf numFmtId="166" fontId="0" fillId="3" borderId="1" xfId="0" applyNumberFormat="1" applyFill="1" applyBorder="1"/>
    <xf numFmtId="0" fontId="0" fillId="3" borderId="1" xfId="0" applyFill="1" applyBorder="1" applyAlignment="1">
      <alignment horizontal="right"/>
    </xf>
    <xf numFmtId="4" fontId="0" fillId="0" borderId="1" xfId="0" applyNumberFormat="1" applyFill="1" applyBorder="1" applyProtection="1">
      <protection locked="0"/>
    </xf>
    <xf numFmtId="3" fontId="0" fillId="0" borderId="1" xfId="0" applyNumberFormat="1" applyFill="1" applyBorder="1" applyProtection="1">
      <protection locked="0"/>
    </xf>
    <xf numFmtId="0" fontId="0" fillId="0" borderId="1" xfId="0" applyFill="1" applyBorder="1" applyAlignment="1" applyProtection="1">
      <alignment horizontal="right"/>
      <protection locked="0"/>
    </xf>
    <xf numFmtId="164" fontId="0" fillId="0" borderId="1" xfId="0" applyNumberFormat="1" applyFill="1" applyBorder="1" applyAlignment="1" applyProtection="1">
      <alignment horizontal="right"/>
      <protection locked="0"/>
    </xf>
    <xf numFmtId="0" fontId="0" fillId="0" borderId="1" xfId="0" applyBorder="1" applyAlignment="1" applyProtection="1">
      <alignment horizontal="right"/>
      <protection locked="0"/>
    </xf>
    <xf numFmtId="0" fontId="8" fillId="0" borderId="0" xfId="0" applyFont="1"/>
    <xf numFmtId="4" fontId="0" fillId="3" borderId="1" xfId="0" applyNumberFormat="1" applyFill="1" applyBorder="1"/>
    <xf numFmtId="0" fontId="0" fillId="5" borderId="0" xfId="0" applyFill="1"/>
    <xf numFmtId="0" fontId="5" fillId="5" borderId="0" xfId="0" applyFont="1" applyFill="1"/>
    <xf numFmtId="0" fontId="0" fillId="5" borderId="1" xfId="0" applyFill="1" applyBorder="1" applyProtection="1">
      <protection locked="0"/>
    </xf>
    <xf numFmtId="10" fontId="0" fillId="5" borderId="1" xfId="0" applyNumberFormat="1" applyFill="1" applyBorder="1"/>
    <xf numFmtId="165" fontId="0" fillId="5" borderId="1" xfId="0" applyNumberFormat="1" applyFill="1" applyBorder="1" applyProtection="1">
      <protection locked="0"/>
    </xf>
    <xf numFmtId="165" fontId="0" fillId="5" borderId="1" xfId="0" applyNumberFormat="1" applyFill="1" applyBorder="1"/>
    <xf numFmtId="0" fontId="1" fillId="5" borderId="0" xfId="0" applyFont="1" applyFill="1" applyAlignment="1">
      <alignment horizontal="right"/>
    </xf>
    <xf numFmtId="164" fontId="0" fillId="3" borderId="9" xfId="0" applyNumberFormat="1" applyFill="1" applyBorder="1"/>
    <xf numFmtId="167" fontId="0" fillId="3" borderId="0" xfId="0" applyNumberFormat="1" applyFill="1" applyBorder="1"/>
    <xf numFmtId="2" fontId="0" fillId="3" borderId="0" xfId="0" applyNumberFormat="1" applyFill="1" applyBorder="1"/>
    <xf numFmtId="0" fontId="0" fillId="0" borderId="6" xfId="0" applyBorder="1" applyAlignment="1">
      <alignment horizontal="left" vertical="center"/>
    </xf>
    <xf numFmtId="0" fontId="0" fillId="0" borderId="7" xfId="0" applyBorder="1" applyAlignment="1"/>
    <xf numFmtId="0" fontId="0" fillId="0" borderId="8"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a.texas.gov/Finance_and_Grants/Financial_Accountability/Financial_Integrity_Rating_System_of_Texas_(FIRST)/Financial_Integrity_Rating_System_of_Tex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29"/>
  <sheetViews>
    <sheetView showGridLines="0" tabSelected="1" workbookViewId="0">
      <pane ySplit="1" topLeftCell="A2" activePane="bottomLeft" state="frozen"/>
      <selection pane="bottomLeft" activeCell="C75" sqref="C75"/>
    </sheetView>
  </sheetViews>
  <sheetFormatPr defaultRowHeight="15" x14ac:dyDescent="0.25"/>
  <cols>
    <col min="2" max="2" width="115.85546875" customWidth="1"/>
    <col min="3" max="3" width="15.28515625" customWidth="1"/>
    <col min="5" max="5" width="47.140625" customWidth="1"/>
  </cols>
  <sheetData>
    <row r="1" spans="1:5" ht="21" x14ac:dyDescent="0.35">
      <c r="A1" s="1" t="s">
        <v>74</v>
      </c>
    </row>
    <row r="2" spans="1:5" ht="15.75" x14ac:dyDescent="0.25">
      <c r="A2" s="2" t="s">
        <v>52</v>
      </c>
    </row>
    <row r="3" spans="1:5" ht="15.75" x14ac:dyDescent="0.25">
      <c r="A3" s="2" t="s">
        <v>0</v>
      </c>
    </row>
    <row r="4" spans="1:5" x14ac:dyDescent="0.25">
      <c r="A4" s="3" t="s">
        <v>1</v>
      </c>
    </row>
    <row r="8" spans="1:5" x14ac:dyDescent="0.25">
      <c r="B8" s="8" t="s">
        <v>5</v>
      </c>
      <c r="C8" s="13" t="s">
        <v>17</v>
      </c>
    </row>
    <row r="9" spans="1:5" ht="30" x14ac:dyDescent="0.25">
      <c r="A9" s="5">
        <v>1</v>
      </c>
      <c r="B9" s="6" t="s">
        <v>2</v>
      </c>
      <c r="C9" s="29" t="s">
        <v>31</v>
      </c>
      <c r="D9" s="7"/>
    </row>
    <row r="10" spans="1:5" ht="45" x14ac:dyDescent="0.25">
      <c r="A10" s="5">
        <v>2</v>
      </c>
      <c r="B10" s="6" t="s">
        <v>4</v>
      </c>
      <c r="C10" s="29" t="s">
        <v>31</v>
      </c>
      <c r="D10" s="7"/>
    </row>
    <row r="11" spans="1:5" ht="105" x14ac:dyDescent="0.25">
      <c r="A11" s="5">
        <v>3</v>
      </c>
      <c r="B11" s="6" t="s">
        <v>3</v>
      </c>
      <c r="C11" s="29" t="s">
        <v>31</v>
      </c>
      <c r="D11" s="7"/>
    </row>
    <row r="12" spans="1:5" ht="45" x14ac:dyDescent="0.25">
      <c r="A12" s="22">
        <v>4</v>
      </c>
      <c r="B12" s="6" t="s">
        <v>33</v>
      </c>
      <c r="C12" s="29" t="s">
        <v>31</v>
      </c>
      <c r="D12" s="7"/>
    </row>
    <row r="13" spans="1:5" x14ac:dyDescent="0.25">
      <c r="A13" s="23"/>
      <c r="B13" s="6" t="s">
        <v>34</v>
      </c>
      <c r="C13" s="29"/>
      <c r="D13" s="7"/>
      <c r="E13" s="41"/>
    </row>
    <row r="14" spans="1:5" x14ac:dyDescent="0.25">
      <c r="A14" s="53">
        <v>5</v>
      </c>
      <c r="B14" s="6" t="s">
        <v>76</v>
      </c>
      <c r="C14" s="45"/>
      <c r="D14" s="7"/>
    </row>
    <row r="15" spans="1:5" x14ac:dyDescent="0.25">
      <c r="A15" s="54"/>
      <c r="B15" s="10" t="s">
        <v>77</v>
      </c>
      <c r="C15" s="45"/>
    </row>
    <row r="16" spans="1:5" x14ac:dyDescent="0.25">
      <c r="A16" s="54"/>
      <c r="B16" s="10" t="s">
        <v>58</v>
      </c>
      <c r="C16" s="46"/>
    </row>
    <row r="17" spans="1:7" x14ac:dyDescent="0.25">
      <c r="A17" s="54"/>
      <c r="B17" s="10" t="s">
        <v>14</v>
      </c>
      <c r="C17" s="47"/>
    </row>
    <row r="18" spans="1:7" x14ac:dyDescent="0.25">
      <c r="A18" s="54"/>
      <c r="B18" s="10" t="s">
        <v>15</v>
      </c>
      <c r="C18" s="45"/>
    </row>
    <row r="19" spans="1:7" x14ac:dyDescent="0.25">
      <c r="A19" s="54"/>
      <c r="B19" s="10" t="s">
        <v>16</v>
      </c>
      <c r="C19" s="47"/>
      <c r="E19" s="41"/>
    </row>
    <row r="20" spans="1:7" x14ac:dyDescent="0.25">
      <c r="A20" s="54"/>
      <c r="B20" s="10" t="s">
        <v>73</v>
      </c>
      <c r="C20" s="47"/>
      <c r="E20" s="41"/>
    </row>
    <row r="21" spans="1:7" x14ac:dyDescent="0.25">
      <c r="A21" s="55"/>
      <c r="B21" s="10" t="s">
        <v>28</v>
      </c>
      <c r="C21" s="48"/>
    </row>
    <row r="22" spans="1:7" x14ac:dyDescent="0.25">
      <c r="B22" s="9"/>
      <c r="C22" s="49"/>
      <c r="D22" s="43" t="s">
        <v>75</v>
      </c>
      <c r="E22" s="44"/>
    </row>
    <row r="23" spans="1:7" x14ac:dyDescent="0.25">
      <c r="B23" s="9"/>
    </row>
    <row r="24" spans="1:7" x14ac:dyDescent="0.25">
      <c r="B24" s="9" t="s">
        <v>6</v>
      </c>
    </row>
    <row r="25" spans="1:7" x14ac:dyDescent="0.25">
      <c r="A25" s="4">
        <v>6</v>
      </c>
      <c r="B25" s="10" t="s">
        <v>98</v>
      </c>
      <c r="C25" s="30">
        <v>1856325</v>
      </c>
      <c r="E25" s="11"/>
      <c r="G25" s="41"/>
    </row>
    <row r="26" spans="1:7" x14ac:dyDescent="0.25">
      <c r="B26" s="10" t="s">
        <v>78</v>
      </c>
      <c r="C26" s="30">
        <v>1506790</v>
      </c>
    </row>
    <row r="27" spans="1:7" x14ac:dyDescent="0.25">
      <c r="B27" s="10" t="s">
        <v>59</v>
      </c>
      <c r="C27" s="30">
        <v>1896540</v>
      </c>
    </row>
    <row r="28" spans="1:7" x14ac:dyDescent="0.25">
      <c r="B28" s="10" t="s">
        <v>60</v>
      </c>
      <c r="C28" s="30">
        <v>1432000</v>
      </c>
    </row>
    <row r="29" spans="1:7" x14ac:dyDescent="0.25">
      <c r="B29" s="10" t="s">
        <v>79</v>
      </c>
      <c r="C29" s="30">
        <v>3275327</v>
      </c>
    </row>
    <row r="30" spans="1:7" x14ac:dyDescent="0.25">
      <c r="B30" s="10" t="s">
        <v>45</v>
      </c>
      <c r="C30" s="30">
        <v>0</v>
      </c>
    </row>
    <row r="31" spans="1:7" x14ac:dyDescent="0.25">
      <c r="B31" s="10" t="s">
        <v>7</v>
      </c>
      <c r="C31" s="17">
        <f>(((C27-C28)/C28)+((C26-C27)/C27)+((C25-C26)/C26))/3</f>
        <v>0.11695563105387967</v>
      </c>
    </row>
    <row r="32" spans="1:7" x14ac:dyDescent="0.25">
      <c r="B32" s="10" t="s">
        <v>57</v>
      </c>
      <c r="C32" s="31">
        <f>((C29-C30)/365)*75</f>
        <v>673012.39726027392</v>
      </c>
    </row>
    <row r="33" spans="1:15" x14ac:dyDescent="0.25">
      <c r="B33" s="9" t="s">
        <v>8</v>
      </c>
      <c r="C33" s="18" t="str">
        <f>IF(OR(C32&lt;C25,C31&gt;-0.25),"Yes","No")</f>
        <v>Yes</v>
      </c>
      <c r="E33" s="11"/>
    </row>
    <row r="35" spans="1:15" x14ac:dyDescent="0.25">
      <c r="A35" s="4">
        <v>7</v>
      </c>
      <c r="B35" s="10" t="s">
        <v>61</v>
      </c>
      <c r="C35" s="30">
        <v>500450</v>
      </c>
      <c r="E35" s="11"/>
    </row>
    <row r="36" spans="1:15" x14ac:dyDescent="0.25">
      <c r="A36" s="4"/>
      <c r="B36" s="10" t="s">
        <v>62</v>
      </c>
      <c r="C36" s="30">
        <v>0</v>
      </c>
      <c r="E36" s="11"/>
    </row>
    <row r="37" spans="1:15" x14ac:dyDescent="0.25">
      <c r="A37" s="4"/>
      <c r="B37" s="10" t="s">
        <v>46</v>
      </c>
      <c r="C37" s="30">
        <v>3275321</v>
      </c>
      <c r="E37" s="11"/>
      <c r="F37" s="41"/>
    </row>
    <row r="38" spans="1:15" x14ac:dyDescent="0.25">
      <c r="A38" s="4"/>
      <c r="B38" s="10" t="s">
        <v>63</v>
      </c>
      <c r="C38" s="30">
        <v>0</v>
      </c>
      <c r="E38" s="11"/>
    </row>
    <row r="39" spans="1:15" x14ac:dyDescent="0.25">
      <c r="B39" s="10" t="s">
        <v>53</v>
      </c>
      <c r="C39" s="32">
        <f>(C35+C36)/(C37-C38)*365</f>
        <v>55.769877212035098</v>
      </c>
      <c r="E39" s="11"/>
    </row>
    <row r="40" spans="1:15" x14ac:dyDescent="0.25">
      <c r="B40" s="9" t="s">
        <v>8</v>
      </c>
      <c r="C40" s="16">
        <f>IF(C39&gt;=90,10,IF(C39&gt;=75,8,IF(C39&gt;=60,6,IF(C39&gt;=45,4,IF(C39&gt;=30,2,0)))))</f>
        <v>4</v>
      </c>
      <c r="E40" s="11"/>
    </row>
    <row r="41" spans="1:15" x14ac:dyDescent="0.25">
      <c r="B41" s="9"/>
    </row>
    <row r="42" spans="1:15" x14ac:dyDescent="0.25">
      <c r="A42" s="4">
        <v>8</v>
      </c>
      <c r="B42" s="10" t="s">
        <v>80</v>
      </c>
      <c r="C42" s="30">
        <v>650978</v>
      </c>
      <c r="E42" s="11"/>
      <c r="F42" s="41"/>
    </row>
    <row r="43" spans="1:15" x14ac:dyDescent="0.25">
      <c r="B43" s="10" t="s">
        <v>81</v>
      </c>
      <c r="C43" s="30">
        <v>232553</v>
      </c>
    </row>
    <row r="44" spans="1:15" x14ac:dyDescent="0.25">
      <c r="B44" s="10" t="s">
        <v>9</v>
      </c>
      <c r="C44" s="14">
        <f>C42/C43</f>
        <v>2.7992672638065299</v>
      </c>
    </row>
    <row r="45" spans="1:15" x14ac:dyDescent="0.25">
      <c r="B45" s="9" t="s">
        <v>8</v>
      </c>
      <c r="C45" s="16">
        <f>IF(C44&gt;=3,10,(IF(C44&gt;=2.5,8,(IF(C44&gt;=2,6,IF(C44&gt;=1.5,4,IF(C44&gt;=1,2,0)))))))</f>
        <v>8</v>
      </c>
    </row>
    <row r="46" spans="1:15" x14ac:dyDescent="0.25">
      <c r="O46" t="s">
        <v>11</v>
      </c>
    </row>
    <row r="47" spans="1:15" ht="30" x14ac:dyDescent="0.25">
      <c r="A47" s="4">
        <v>9</v>
      </c>
      <c r="B47" s="10" t="s">
        <v>65</v>
      </c>
      <c r="C47" s="30">
        <v>3022256</v>
      </c>
      <c r="E47" s="11"/>
      <c r="F47" s="41"/>
    </row>
    <row r="48" spans="1:15" ht="30" x14ac:dyDescent="0.25">
      <c r="A48" s="4"/>
      <c r="B48" s="10" t="s">
        <v>66</v>
      </c>
      <c r="C48" s="30">
        <v>3275321</v>
      </c>
    </row>
    <row r="49" spans="1:6" x14ac:dyDescent="0.25">
      <c r="B49" s="10" t="s">
        <v>64</v>
      </c>
      <c r="C49" s="30">
        <v>0</v>
      </c>
      <c r="E49" s="11"/>
    </row>
    <row r="50" spans="1:6" x14ac:dyDescent="0.25">
      <c r="B50" s="10" t="s">
        <v>18</v>
      </c>
      <c r="C50" s="17">
        <f>(C47/(C48-C49)-1)</f>
        <v>-7.7264182655684688E-2</v>
      </c>
      <c r="E50" s="11"/>
    </row>
    <row r="51" spans="1:6" x14ac:dyDescent="0.25">
      <c r="B51" s="9" t="s">
        <v>8</v>
      </c>
      <c r="C51" s="16">
        <f>IF(OR(C50&gt;0,C39&gt;60),10,0)</f>
        <v>0</v>
      </c>
    </row>
    <row r="53" spans="1:6" x14ac:dyDescent="0.25">
      <c r="A53" s="4">
        <v>10</v>
      </c>
      <c r="B53" s="10" t="s">
        <v>82</v>
      </c>
      <c r="C53" s="30">
        <v>3022257</v>
      </c>
      <c r="E53" s="11"/>
      <c r="F53" s="41"/>
    </row>
    <row r="54" spans="1:6" x14ac:dyDescent="0.25">
      <c r="B54" s="10" t="s">
        <v>67</v>
      </c>
      <c r="C54" s="30">
        <v>2530841</v>
      </c>
    </row>
    <row r="55" spans="1:6" x14ac:dyDescent="0.25">
      <c r="B55" s="10" t="s">
        <v>68</v>
      </c>
      <c r="C55" s="30">
        <v>2519188</v>
      </c>
    </row>
    <row r="56" spans="1:6" x14ac:dyDescent="0.25">
      <c r="B56" s="10" t="s">
        <v>83</v>
      </c>
      <c r="C56" s="30">
        <v>2904941</v>
      </c>
    </row>
    <row r="57" spans="1:6" x14ac:dyDescent="0.25">
      <c r="B57" s="10" t="s">
        <v>69</v>
      </c>
      <c r="C57" s="30">
        <v>2729622</v>
      </c>
    </row>
    <row r="58" spans="1:6" x14ac:dyDescent="0.25">
      <c r="B58" s="10" t="s">
        <v>70</v>
      </c>
      <c r="C58" s="30">
        <v>2558128</v>
      </c>
    </row>
    <row r="59" spans="1:6" x14ac:dyDescent="0.25">
      <c r="B59" s="10" t="s">
        <v>10</v>
      </c>
      <c r="C59" s="17">
        <f>(((C53-C56)/C56)+((C54-C57)/C57)+((C55-C58)/C58))/3</f>
        <v>-1.5886906526736164E-2</v>
      </c>
      <c r="E59" s="11"/>
    </row>
    <row r="60" spans="1:6" x14ac:dyDescent="0.25">
      <c r="B60" s="12" t="s">
        <v>8</v>
      </c>
      <c r="C60" s="16">
        <f>IF(AND(C59&lt;=0.1,C59&gt;=-0.1),10,0)</f>
        <v>10</v>
      </c>
    </row>
    <row r="62" spans="1:6" ht="30" x14ac:dyDescent="0.25">
      <c r="A62" s="4">
        <v>11</v>
      </c>
      <c r="B62" s="10" t="s">
        <v>84</v>
      </c>
      <c r="C62" s="30">
        <v>0</v>
      </c>
    </row>
    <row r="63" spans="1:6" ht="30" x14ac:dyDescent="0.25">
      <c r="B63" s="10" t="s">
        <v>85</v>
      </c>
      <c r="C63" s="30">
        <v>2115945</v>
      </c>
    </row>
    <row r="64" spans="1:6" x14ac:dyDescent="0.25">
      <c r="B64" s="10" t="s">
        <v>12</v>
      </c>
      <c r="C64" s="50">
        <f>C62/C63</f>
        <v>0</v>
      </c>
      <c r="E64" s="11"/>
    </row>
    <row r="65" spans="1:5" x14ac:dyDescent="0.25">
      <c r="B65" s="10" t="s">
        <v>95</v>
      </c>
      <c r="C65" s="52">
        <v>249</v>
      </c>
      <c r="E65" s="11"/>
    </row>
    <row r="66" spans="1:5" x14ac:dyDescent="0.25">
      <c r="B66" s="10" t="s">
        <v>96</v>
      </c>
      <c r="C66" s="52">
        <v>237</v>
      </c>
      <c r="E66" s="11"/>
    </row>
    <row r="67" spans="1:5" x14ac:dyDescent="0.25">
      <c r="B67" s="12" t="s">
        <v>97</v>
      </c>
      <c r="C67" s="51">
        <f>(C65-C66)/C66</f>
        <v>5.0632911392405063E-2</v>
      </c>
      <c r="E67" s="11"/>
    </row>
    <row r="68" spans="1:5" x14ac:dyDescent="0.25">
      <c r="B68" s="12" t="s">
        <v>8</v>
      </c>
      <c r="C68" s="16">
        <f>IF(C67&gt;=0.07,10,IF(C64&lt;=0.6,10,IF(C64&lt;=0.7,8,IF(C64&lt;=0.8,6,IF(C64&lt;=0.9,4,IF(C64&lt;=1,2,0))))))</f>
        <v>10</v>
      </c>
    </row>
    <row r="70" spans="1:5" x14ac:dyDescent="0.25">
      <c r="A70" s="4">
        <v>12</v>
      </c>
      <c r="B70" s="10" t="s">
        <v>51</v>
      </c>
      <c r="C70" s="30">
        <v>200000</v>
      </c>
      <c r="E70" s="11"/>
    </row>
    <row r="71" spans="1:5" x14ac:dyDescent="0.25">
      <c r="B71" s="10" t="s">
        <v>71</v>
      </c>
      <c r="C71" s="30">
        <v>760790</v>
      </c>
      <c r="E71" s="11"/>
    </row>
    <row r="72" spans="1:5" x14ac:dyDescent="0.25">
      <c r="B72" s="10" t="s">
        <v>47</v>
      </c>
      <c r="C72" s="30">
        <v>1230567</v>
      </c>
      <c r="E72" s="11"/>
    </row>
    <row r="73" spans="1:5" x14ac:dyDescent="0.25">
      <c r="B73" s="10" t="s">
        <v>48</v>
      </c>
      <c r="C73" s="30">
        <v>109306289</v>
      </c>
      <c r="E73" s="11"/>
    </row>
    <row r="74" spans="1:5" x14ac:dyDescent="0.25">
      <c r="B74" s="10" t="s">
        <v>13</v>
      </c>
      <c r="C74" s="42">
        <f>((C70/(C71))*C72)/(C73/100)</f>
        <v>0.29595474993561161</v>
      </c>
      <c r="E74" s="11"/>
    </row>
    <row r="75" spans="1:5" x14ac:dyDescent="0.25">
      <c r="B75" s="9" t="s">
        <v>8</v>
      </c>
      <c r="C75" s="16">
        <f>IF(C72=0,10,IF(C74&lt;=4,10,IF(C74&lt;=7,8,IF(C74&lt;=10,6,IF(C74&lt;=11.5,4,IF(C74&lt;=13.5,2,IF(C74&gt;13.5,0)))))))</f>
        <v>10</v>
      </c>
    </row>
    <row r="76" spans="1:5" x14ac:dyDescent="0.25">
      <c r="B76" s="9"/>
      <c r="C76" s="19"/>
    </row>
    <row r="77" spans="1:5" x14ac:dyDescent="0.25">
      <c r="A77" s="4">
        <v>13</v>
      </c>
      <c r="B77" s="10" t="s">
        <v>54</v>
      </c>
      <c r="C77" s="33">
        <v>319457</v>
      </c>
      <c r="E77" s="11"/>
    </row>
    <row r="78" spans="1:5" x14ac:dyDescent="0.25">
      <c r="B78" s="10" t="s">
        <v>20</v>
      </c>
      <c r="C78" s="33">
        <f>1589409+10525+14524+162734</f>
        <v>1777192</v>
      </c>
    </row>
    <row r="79" spans="1:5" x14ac:dyDescent="0.25">
      <c r="B79" s="10" t="s">
        <v>19</v>
      </c>
      <c r="C79" s="34">
        <f>C77/C78</f>
        <v>0.17975379137425782</v>
      </c>
    </row>
    <row r="80" spans="1:5" x14ac:dyDescent="0.25">
      <c r="B80" s="10" t="s">
        <v>27</v>
      </c>
      <c r="C80" s="35" t="s">
        <v>44</v>
      </c>
    </row>
    <row r="81" spans="1:3" x14ac:dyDescent="0.25">
      <c r="B81" s="10" t="s">
        <v>21</v>
      </c>
      <c r="C81" s="36">
        <v>220.90700000000001</v>
      </c>
    </row>
    <row r="82" spans="1:3" x14ac:dyDescent="0.25">
      <c r="B82" s="10" t="s">
        <v>22</v>
      </c>
      <c r="C82" s="15">
        <f>IF(C80="Yes",0.3364,IF(C81&gt;=10000,0.0855,IF(C81&gt;=5000,0.1,IF(C81&gt;=1000,0.1151,IF(C81&gt;=500,0.1311,0.2404)))))</f>
        <v>0.2404</v>
      </c>
    </row>
    <row r="83" spans="1:3" x14ac:dyDescent="0.25">
      <c r="B83" s="10" t="s">
        <v>23</v>
      </c>
      <c r="C83" s="15">
        <f>IF(C80="Yes",0.3614,IF(C81&gt;=10000,0.1105,IF(C81&gt;=5000,0.125,IF(C81&gt;=1000,0.1401,IF(C81&gt;=500,0.1561,0.2654)))))</f>
        <v>0.26540000000000002</v>
      </c>
    </row>
    <row r="84" spans="1:3" x14ac:dyDescent="0.25">
      <c r="B84" s="10" t="s">
        <v>24</v>
      </c>
      <c r="C84" s="15">
        <f>IF(C80="Yes",0.3864,IF(C81&gt;=10000,0.1355,IF(C81&gt;=5000,0.15,IF(C81&gt;=1000,0.1651,IF(C81&gt;=500,0.1811,0.2904)))))</f>
        <v>0.29039999999999999</v>
      </c>
    </row>
    <row r="85" spans="1:3" x14ac:dyDescent="0.25">
      <c r="B85" s="10" t="s">
        <v>25</v>
      </c>
      <c r="C85" s="15">
        <f>IF(C80="Yes",0.4114,IF(C81&gt;=10000,0.1605,IF(C81&gt;=5000,0.175,IF(C81&gt;=1000,0.1901,IF(C81&gt;=500,0.2061,0.3154)))))</f>
        <v>0.31540000000000001</v>
      </c>
    </row>
    <row r="86" spans="1:3" x14ac:dyDescent="0.25">
      <c r="B86" s="10" t="s">
        <v>26</v>
      </c>
      <c r="C86" s="15">
        <f>IF(C80="Yes",0.4364,IF(C81&gt;=10000,0.1855,IF(C81&gt;=5000,0.2,IF(C81&gt;=1000,0.2151,IF(C81&gt;=500,0.2311,0.3404)))))</f>
        <v>0.34039999999999998</v>
      </c>
    </row>
    <row r="87" spans="1:3" x14ac:dyDescent="0.25">
      <c r="B87" s="9" t="s">
        <v>8</v>
      </c>
      <c r="C87" s="16">
        <f>IF(C79&lt;C82,10,IF(C79&lt;C83,8,IF(C79&lt;C84,6,IF(C85&lt;4,IF(C79&lt;C86,2,0)))))</f>
        <v>10</v>
      </c>
    </row>
    <row r="88" spans="1:3" x14ac:dyDescent="0.25">
      <c r="B88" s="9"/>
      <c r="C88" s="19"/>
    </row>
    <row r="89" spans="1:3" x14ac:dyDescent="0.25">
      <c r="A89" s="4">
        <v>14</v>
      </c>
      <c r="B89" s="10" t="s">
        <v>86</v>
      </c>
      <c r="C89" s="37">
        <v>51.615600000000001</v>
      </c>
    </row>
    <row r="90" spans="1:3" x14ac:dyDescent="0.25">
      <c r="B90" s="10" t="s">
        <v>87</v>
      </c>
      <c r="C90" s="37">
        <v>33.927199999999999</v>
      </c>
    </row>
    <row r="91" spans="1:3" x14ac:dyDescent="0.25">
      <c r="B91" s="10" t="s">
        <v>88</v>
      </c>
      <c r="C91" s="37">
        <v>249</v>
      </c>
    </row>
    <row r="92" spans="1:3" x14ac:dyDescent="0.25">
      <c r="B92" s="10" t="s">
        <v>89</v>
      </c>
      <c r="C92" s="37">
        <v>243</v>
      </c>
    </row>
    <row r="93" spans="1:3" x14ac:dyDescent="0.25">
      <c r="B93" s="10" t="s">
        <v>90</v>
      </c>
      <c r="C93" s="34">
        <f>C92/C90</f>
        <v>7.1623947746940511</v>
      </c>
    </row>
    <row r="94" spans="1:3" x14ac:dyDescent="0.25">
      <c r="B94" s="10" t="s">
        <v>91</v>
      </c>
      <c r="C94" s="34">
        <f>C91/C89</f>
        <v>4.8241229395764069</v>
      </c>
    </row>
    <row r="95" spans="1:3" x14ac:dyDescent="0.25">
      <c r="B95" s="9" t="s">
        <v>8</v>
      </c>
      <c r="C95" s="21">
        <f>IF(OR((C94/C93)-1&gt;-0.15,C91-C92&gt;0),10,0)</f>
        <v>10</v>
      </c>
    </row>
    <row r="96" spans="1:3" x14ac:dyDescent="0.25">
      <c r="B96" s="9"/>
      <c r="C96" s="20"/>
    </row>
    <row r="97" spans="1:5" x14ac:dyDescent="0.25">
      <c r="A97" s="4">
        <v>15</v>
      </c>
      <c r="B97" s="10" t="s">
        <v>72</v>
      </c>
      <c r="C97" s="38" t="s">
        <v>31</v>
      </c>
    </row>
    <row r="98" spans="1:5" x14ac:dyDescent="0.25">
      <c r="B98" s="10" t="s">
        <v>92</v>
      </c>
      <c r="C98" s="38">
        <v>225.024</v>
      </c>
    </row>
    <row r="99" spans="1:5" x14ac:dyDescent="0.25">
      <c r="B99" s="10" t="s">
        <v>93</v>
      </c>
      <c r="C99" s="38">
        <v>225.774</v>
      </c>
    </row>
    <row r="100" spans="1:5" x14ac:dyDescent="0.25">
      <c r="B100" s="10" t="s">
        <v>29</v>
      </c>
      <c r="C100" s="39">
        <f>ABS((C98-C99)/C99)</f>
        <v>3.3219059767732335E-3</v>
      </c>
    </row>
    <row r="101" spans="1:5" x14ac:dyDescent="0.25">
      <c r="B101" s="10" t="s">
        <v>30</v>
      </c>
      <c r="C101" s="38">
        <f>ABS(IF(C80="Yes",0.35,IF(C98&gt;=10000,0.07,IF(C98&gt;=5000,0.1,IF(C98&gt;=1000,0.2,IF(C98&gt;=500,0=25,IF(C98&gt;0,0.3)))))))</f>
        <v>0.3</v>
      </c>
      <c r="E101" s="11"/>
    </row>
    <row r="102" spans="1:5" x14ac:dyDescent="0.25">
      <c r="B102" s="9" t="s">
        <v>8</v>
      </c>
      <c r="C102" s="18">
        <f>IF(C101&gt;C100,5,0)</f>
        <v>5</v>
      </c>
    </row>
    <row r="104" spans="1:5" ht="30" x14ac:dyDescent="0.25">
      <c r="A104" s="4">
        <v>16</v>
      </c>
      <c r="B104" s="10" t="s">
        <v>49</v>
      </c>
      <c r="C104" s="40" t="s">
        <v>31</v>
      </c>
      <c r="D104" s="11"/>
    </row>
    <row r="105" spans="1:5" ht="14.25" customHeight="1" x14ac:dyDescent="0.25"/>
    <row r="106" spans="1:5" ht="45" x14ac:dyDescent="0.25">
      <c r="A106" s="4">
        <v>17</v>
      </c>
      <c r="B106" s="6" t="s">
        <v>32</v>
      </c>
      <c r="C106" s="40" t="s">
        <v>31</v>
      </c>
    </row>
    <row r="107" spans="1:5" x14ac:dyDescent="0.25">
      <c r="B107" s="9"/>
    </row>
    <row r="108" spans="1:5" ht="30" x14ac:dyDescent="0.25">
      <c r="A108" s="4">
        <v>18</v>
      </c>
      <c r="B108" s="6" t="s">
        <v>50</v>
      </c>
      <c r="C108" s="40" t="s">
        <v>31</v>
      </c>
    </row>
    <row r="109" spans="1:5" x14ac:dyDescent="0.25">
      <c r="A109" s="4"/>
      <c r="B109" s="27"/>
      <c r="C109" s="16">
        <f>IF(C108="Yes",10,0)</f>
        <v>10</v>
      </c>
    </row>
    <row r="111" spans="1:5" ht="30" x14ac:dyDescent="0.25">
      <c r="A111" s="4">
        <v>19</v>
      </c>
      <c r="B111" s="6" t="s">
        <v>55</v>
      </c>
      <c r="C111" s="40" t="s">
        <v>31</v>
      </c>
    </row>
    <row r="112" spans="1:5" x14ac:dyDescent="0.25">
      <c r="B112" s="9" t="s">
        <v>8</v>
      </c>
      <c r="C112" s="16">
        <f>IF(C111="Yes",5,0)</f>
        <v>5</v>
      </c>
    </row>
    <row r="114" spans="1:3" ht="30" x14ac:dyDescent="0.25">
      <c r="A114" s="4">
        <v>20</v>
      </c>
      <c r="B114" s="6" t="s">
        <v>56</v>
      </c>
      <c r="C114" s="40" t="s">
        <v>31</v>
      </c>
    </row>
    <row r="115" spans="1:3" x14ac:dyDescent="0.25">
      <c r="B115" s="9" t="s">
        <v>8</v>
      </c>
    </row>
    <row r="118" spans="1:3" x14ac:dyDescent="0.25">
      <c r="B118" s="9" t="s">
        <v>8</v>
      </c>
      <c r="C118">
        <f>C40+C45+C51+C60+C68+C75+C87+C95+C102+C112+C109</f>
        <v>82</v>
      </c>
    </row>
    <row r="119" spans="1:3" x14ac:dyDescent="0.25">
      <c r="B119" t="s">
        <v>42</v>
      </c>
    </row>
    <row r="120" spans="1:3" x14ac:dyDescent="0.25">
      <c r="B120" t="s">
        <v>35</v>
      </c>
      <c r="C120">
        <f>IF(C12="No",95,100)</f>
        <v>100</v>
      </c>
    </row>
    <row r="121" spans="1:3" x14ac:dyDescent="0.25">
      <c r="B121" t="s">
        <v>36</v>
      </c>
      <c r="C121" s="24" t="s">
        <v>94</v>
      </c>
    </row>
    <row r="122" spans="1:3" x14ac:dyDescent="0.25">
      <c r="B122" t="s">
        <v>37</v>
      </c>
      <c r="C122">
        <f>IF(C33="No",89,100)</f>
        <v>100</v>
      </c>
    </row>
    <row r="123" spans="1:3" x14ac:dyDescent="0.25">
      <c r="B123" t="s">
        <v>38</v>
      </c>
      <c r="C123">
        <f>IF(C104="No",89,100)</f>
        <v>100</v>
      </c>
    </row>
    <row r="124" spans="1:3" x14ac:dyDescent="0.25">
      <c r="B124" t="s">
        <v>39</v>
      </c>
      <c r="C124">
        <f>IF(C106="No",79,100)</f>
        <v>100</v>
      </c>
    </row>
    <row r="125" spans="1:3" x14ac:dyDescent="0.25">
      <c r="B125" t="s">
        <v>40</v>
      </c>
      <c r="C125">
        <f>IF(C114="No",89,100)</f>
        <v>100</v>
      </c>
    </row>
    <row r="127" spans="1:3" x14ac:dyDescent="0.25">
      <c r="B127" t="s">
        <v>8</v>
      </c>
      <c r="C127">
        <f>MIN(C118,C120,C122,C123,C124,C125)</f>
        <v>82</v>
      </c>
    </row>
    <row r="128" spans="1:3" x14ac:dyDescent="0.25">
      <c r="B128" t="s">
        <v>43</v>
      </c>
      <c r="C128" s="24" t="str">
        <f>IF(AND(C9="Yes",C10="Yes",C11="Yes",(OR(C12="Yes",C13="Yes"))),"Yes","No")</f>
        <v>Yes</v>
      </c>
    </row>
    <row r="129" spans="2:5" ht="39.75" customHeight="1" x14ac:dyDescent="0.35">
      <c r="B129" s="25" t="s">
        <v>41</v>
      </c>
      <c r="C129" s="26" t="str">
        <f>IF(C128="No","F",IF(C127&gt;=90,"A",IF(C127&gt;=80,"B",IF(C127&gt;=70,"C","F"))))</f>
        <v>B</v>
      </c>
      <c r="E129" s="28" t="str">
        <f>IF(C129="A","Superior Achievement",IF(C129="B","Above Standard Achievement",IF(C129="C","Meets Standard Achievement","Substandard Achievement")))</f>
        <v>Above Standard Achievement</v>
      </c>
    </row>
  </sheetData>
  <sheetProtection selectLockedCells="1"/>
  <mergeCells count="1">
    <mergeCell ref="A14:A21"/>
  </mergeCells>
  <hyperlinks>
    <hyperlink ref="A4" r:id="rId1" xr:uid="{00000000-0004-0000-0000-000000000000}"/>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Brownson</dc:creator>
  <cp:lastModifiedBy>Amanda Brownson</cp:lastModifiedBy>
  <dcterms:created xsi:type="dcterms:W3CDTF">2018-04-16T20:56:33Z</dcterms:created>
  <dcterms:modified xsi:type="dcterms:W3CDTF">2021-11-01T20:20:39Z</dcterms:modified>
</cp:coreProperties>
</file>